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\Desktop\Coldwell Banker\808 Liberty Avenue, Pittsburgh (Comm Lease Listing)\"/>
    </mc:Choice>
  </mc:AlternateContent>
  <xr:revisionPtr revIDLastSave="0" documentId="13_ncr:1_{98B56C4C-3EBC-41D9-81EC-A5515D4DE4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 Reconciliation" sheetId="1" r:id="rId1"/>
    <sheet name="2024 Estimated CAM &amp; Electric" sheetId="6" r:id="rId2"/>
    <sheet name="Total Expenses" sheetId="2" r:id="rId3"/>
    <sheet name="Utiliti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N11" i="2"/>
  <c r="M11" i="2"/>
  <c r="L11" i="2"/>
  <c r="K11" i="2"/>
  <c r="J11" i="2"/>
  <c r="O11" i="2" s="1"/>
  <c r="O10" i="2"/>
  <c r="N10" i="2"/>
  <c r="M10" i="2"/>
  <c r="L10" i="2"/>
  <c r="K10" i="2"/>
  <c r="J10" i="2"/>
  <c r="O15" i="2" l="1"/>
  <c r="F34" i="1"/>
  <c r="D28" i="1" l="1"/>
  <c r="D29" i="1"/>
  <c r="O9" i="2"/>
  <c r="K9" i="2"/>
  <c r="O8" i="2"/>
  <c r="O7" i="2"/>
  <c r="H14" i="6" l="1"/>
  <c r="F30" i="1" s="1"/>
  <c r="D34" i="1" s="1"/>
  <c r="I6" i="2" l="1"/>
  <c r="I5" i="2"/>
  <c r="O2" i="3"/>
  <c r="A23" i="1" l="1"/>
  <c r="A24" i="1"/>
  <c r="A25" i="1"/>
  <c r="A26" i="1"/>
  <c r="A27" i="1"/>
  <c r="A28" i="1"/>
  <c r="A29" i="1"/>
  <c r="A22" i="1"/>
  <c r="C10" i="3" l="1"/>
  <c r="C12" i="2" s="1"/>
  <c r="O6" i="2" l="1"/>
  <c r="O5" i="2"/>
  <c r="C13" i="2" l="1"/>
  <c r="B29" i="1"/>
  <c r="B28" i="1"/>
  <c r="B27" i="1"/>
  <c r="B26" i="1"/>
  <c r="B25" i="1"/>
  <c r="B24" i="1"/>
  <c r="B23" i="1"/>
  <c r="B22" i="1"/>
  <c r="D23" i="1" l="1"/>
  <c r="D24" i="1"/>
  <c r="D25" i="1"/>
  <c r="D26" i="1"/>
  <c r="D27" i="1"/>
  <c r="D22" i="1"/>
  <c r="E22" i="1" s="1"/>
  <c r="C23" i="1"/>
  <c r="N10" i="3"/>
  <c r="M10" i="3"/>
  <c r="L10" i="3"/>
  <c r="K10" i="3"/>
  <c r="J10" i="3"/>
  <c r="I10" i="3"/>
  <c r="H10" i="3"/>
  <c r="G10" i="3"/>
  <c r="F10" i="3"/>
  <c r="E10" i="3"/>
  <c r="D10" i="3"/>
  <c r="D12" i="2" s="1"/>
  <c r="O9" i="3"/>
  <c r="O8" i="3"/>
  <c r="O7" i="3"/>
  <c r="O6" i="3"/>
  <c r="O5" i="3"/>
  <c r="O4" i="3"/>
  <c r="O3" i="3"/>
  <c r="C22" i="1"/>
  <c r="C28" i="1"/>
  <c r="F33" i="1" s="1"/>
  <c r="C27" i="1"/>
  <c r="C26" i="1"/>
  <c r="C25" i="1"/>
  <c r="C24" i="1"/>
  <c r="E26" i="1" l="1"/>
  <c r="E24" i="1"/>
  <c r="E27" i="1"/>
  <c r="E25" i="1"/>
  <c r="E23" i="1"/>
  <c r="E28" i="1"/>
  <c r="E12" i="2"/>
  <c r="E13" i="2" s="1"/>
  <c r="H12" i="2"/>
  <c r="H13" i="2" s="1"/>
  <c r="I12" i="2"/>
  <c r="I13" i="2" s="1"/>
  <c r="J12" i="2"/>
  <c r="J13" i="2" s="1"/>
  <c r="K12" i="2"/>
  <c r="L12" i="2"/>
  <c r="L13" i="2" s="1"/>
  <c r="M12" i="2"/>
  <c r="M13" i="2" s="1"/>
  <c r="N12" i="2"/>
  <c r="N13" i="2" s="1"/>
  <c r="F12" i="2"/>
  <c r="F13" i="2" s="1"/>
  <c r="G12" i="2"/>
  <c r="G13" i="2" s="1"/>
  <c r="D13" i="2"/>
  <c r="O10" i="3"/>
  <c r="O12" i="2" l="1"/>
  <c r="O13" i="2"/>
  <c r="O17" i="2" s="1"/>
  <c r="C29" i="1"/>
  <c r="K13" i="2"/>
  <c r="C30" i="1"/>
  <c r="E29" i="1" l="1"/>
  <c r="E30" i="1" s="1"/>
  <c r="O16" i="2"/>
  <c r="E33" i="1" l="1"/>
  <c r="G33" i="1" s="1"/>
  <c r="B37" i="1" s="1"/>
  <c r="G30" i="1"/>
  <c r="D33" i="1"/>
  <c r="D35" i="1"/>
</calcChain>
</file>

<file path=xl/sharedStrings.xml><?xml version="1.0" encoding="utf-8"?>
<sst xmlns="http://schemas.openxmlformats.org/spreadsheetml/2006/main" count="176" uniqueCount="94">
  <si>
    <t>01.01.24 - 12.31.24 Operating Expense Reconciliation Period To Date Report</t>
  </si>
  <si>
    <t xml:space="preserve"> This report is calculated by using the amounts reported during the time specified above</t>
  </si>
  <si>
    <t>Export Date Range:</t>
  </si>
  <si>
    <t>1/1/2024 - 12/31/2024</t>
  </si>
  <si>
    <t/>
  </si>
  <si>
    <t>Tenant Name:</t>
  </si>
  <si>
    <t>Tenant Address:</t>
  </si>
  <si>
    <t>100 Cardinal Road, Unit: 100</t>
  </si>
  <si>
    <t>Lease Start Date:</t>
  </si>
  <si>
    <t>Tenant's Pro-Rata Share of Entity:</t>
  </si>
  <si>
    <t>Expenses</t>
  </si>
  <si>
    <t>Tenant Total Portion</t>
  </si>
  <si>
    <t>Invoiced Amount</t>
  </si>
  <si>
    <t>Amount Due</t>
  </si>
  <si>
    <t>Insurance</t>
  </si>
  <si>
    <t>Real Estate Taxes</t>
  </si>
  <si>
    <t>Per Rentable Sq Ft</t>
  </si>
  <si>
    <t>Grand Total Operating Expenses:</t>
  </si>
  <si>
    <t>Total Invoiced Amount:</t>
  </si>
  <si>
    <t>Tenant Responsibility:</t>
  </si>
  <si>
    <t>Operational Expense Breakdown for 100 Cardinal Road, Unit 100</t>
  </si>
  <si>
    <t>Category</t>
  </si>
  <si>
    <t>Subcategory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</si>
  <si>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</si>
  <si>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</si>
  <si>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</si>
  <si>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</si>
  <si>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</si>
  <si>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</si>
  <si>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</si>
  <si>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</si>
  <si>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</si>
  <si>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</si>
  <si>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</si>
  <si>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</si>
  <si>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Total Op-Exp</t>
  </si>
  <si>
    <t>Taxes</t>
  </si>
  <si>
    <t>CAM</t>
  </si>
  <si>
    <t>Rentable Sq Ft (RSF):</t>
  </si>
  <si>
    <t>Cost per RSF:</t>
  </si>
  <si>
    <t>Cost per Month:</t>
  </si>
  <si>
    <t>Vendor</t>
  </si>
  <si>
    <t>Electric</t>
  </si>
  <si>
    <t>Tenant's Pro-Rata Share:</t>
  </si>
  <si>
    <t>Operating Expense Reconciliation Period To Date Report</t>
  </si>
  <si>
    <t>Security</t>
  </si>
  <si>
    <t>Notes</t>
  </si>
  <si>
    <t>Tenant Rented Sq Ft:</t>
  </si>
  <si>
    <t>Total Property Rented Space Sq Ft:</t>
  </si>
  <si>
    <t>Date</t>
  </si>
  <si>
    <t>Type</t>
  </si>
  <si>
    <t>Account</t>
  </si>
  <si>
    <t>Property</t>
  </si>
  <si>
    <t>Name</t>
  </si>
  <si>
    <t>Description</t>
  </si>
  <si>
    <t>Amount</t>
  </si>
  <si>
    <t>Operational Expense Breakdown for 585 Hickory</t>
  </si>
  <si>
    <t>Lease End Date:</t>
  </si>
  <si>
    <t>Consumption</t>
  </si>
  <si>
    <t>Actual Expenses</t>
  </si>
  <si>
    <t>7/1/2024 - 12/31/2024</t>
  </si>
  <si>
    <t>Note: Basement Excluded</t>
  </si>
  <si>
    <t>CertaSite - Billed Quarterly</t>
  </si>
  <si>
    <t>Comcast</t>
  </si>
  <si>
    <t>Elevator</t>
  </si>
  <si>
    <t>Lins Elevator - Billed Quarterly</t>
  </si>
  <si>
    <t>PGH2O</t>
  </si>
  <si>
    <t>Fire Sprinkler Line</t>
  </si>
  <si>
    <t>Additional Rent Per Lease:</t>
  </si>
  <si>
    <t>Security: Inspections</t>
  </si>
  <si>
    <t>Security Systems of America</t>
  </si>
  <si>
    <t>2024 Pro-Rated Pd at Settlement</t>
  </si>
  <si>
    <t>6/28/24-6/28/25 Total $5855.00 Pro-Rated</t>
  </si>
  <si>
    <t>See Utilities Tab for Breakdown</t>
  </si>
  <si>
    <t>Unit 2: 808 Liberty Avenue, Pittsburgh, PA 15222</t>
  </si>
  <si>
    <t>Transaction Details Report - 2024-01-01 2024-12-31</t>
  </si>
  <si>
    <t>Running Balance</t>
  </si>
  <si>
    <t xml:space="preserve">unit: 2 </t>
  </si>
  <si>
    <t>Total</t>
  </si>
  <si>
    <t>Accrual basis Tue Feb 04 2025 13:46:18 GMT-0500 (Eastern Standard Time)</t>
  </si>
  <si>
    <t>Tenant Average % of Total Electric</t>
  </si>
  <si>
    <t>Utilities-Other</t>
  </si>
  <si>
    <t>Total Amount Due:</t>
  </si>
  <si>
    <t>Total % of Electric:</t>
  </si>
  <si>
    <t>Tenant's Pro-Rata Share of CAM, Taxes &amp; Insurance</t>
  </si>
  <si>
    <t>Monthly Average CAM/Taxes/Insur</t>
  </si>
  <si>
    <t>Monthly Average Electric</t>
  </si>
  <si>
    <t>Total/Month</t>
  </si>
  <si>
    <t>Of Total Electric</t>
  </si>
  <si>
    <t>New Estimated CAM Charges:</t>
  </si>
  <si>
    <t>Effective Date:</t>
  </si>
  <si>
    <t>Electric (Common Areas)</t>
  </si>
  <si>
    <t>Duquesne Light (9% of total bill)</t>
  </si>
  <si>
    <t>Duquesne Light (91% of total bill)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</si>
</sst>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,###,##0"/>
    <numFmt numFmtId="165" formatCode="###,##0.00%"/>
    <numFmt numFmtId="166" formatCode="\$###,###,##0.00;\(\$###,###,##0.00\)"/>
    <numFmt numFmtId="167" formatCode="mm/dd/yyyy"/>
    <numFmt numFmtId="168" formatCode="\$#,##0.00_);[Red]\(\$#,##0.00\)"/>
  </numFmts>
  <fonts count="11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3.5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7A7A7A"/>
      </patternFill>
    </fill>
    <fill>
      <patternFill patternType="solid">
        <fgColor rgb="FFDFDFDF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164" fontId="0" fillId="0" borderId="0" xfId="0" applyNumberFormat="1" applyAlignment="1">
      <alignment horizontal="right"/>
    </xf>
    <xf numFmtId="166" fontId="0" fillId="0" borderId="0" xfId="0" applyNumberFormat="1"/>
    <xf numFmtId="0" fontId="4" fillId="0" borderId="0" xfId="0" applyFont="1" applyAlignment="1">
      <alignment horizontal="center"/>
    </xf>
    <xf numFmtId="166" fontId="2" fillId="0" borderId="0" xfId="0" applyNumberFormat="1" applyFont="1"/>
    <xf numFmtId="166" fontId="2" fillId="0" borderId="1" xfId="0" applyNumberFormat="1" applyFont="1" applyBorder="1"/>
    <xf numFmtId="0" fontId="0" fillId="2" borderId="0" xfId="0" applyFill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166" fontId="0" fillId="3" borderId="0" xfId="0" applyNumberFormat="1" applyFill="1"/>
    <xf numFmtId="166" fontId="2" fillId="3" borderId="1" xfId="0" applyNumberFormat="1" applyFont="1" applyFill="1" applyBorder="1"/>
    <xf numFmtId="165" fontId="0" fillId="3" borderId="0" xfId="0" applyNumberFormat="1" applyFill="1"/>
    <xf numFmtId="166" fontId="0" fillId="3" borderId="2" xfId="0" applyNumberFormat="1" applyFill="1" applyBorder="1"/>
    <xf numFmtId="0" fontId="5" fillId="2" borderId="0" xfId="0" applyFont="1" applyFill="1" applyAlignment="1">
      <alignment horizontal="right" wrapText="1"/>
    </xf>
    <xf numFmtId="0" fontId="1" fillId="0" borderId="0" xfId="2"/>
    <xf numFmtId="0" fontId="5" fillId="2" borderId="0" xfId="0" applyFont="1" applyFill="1"/>
    <xf numFmtId="0" fontId="5" fillId="0" borderId="0" xfId="0" applyFont="1"/>
    <xf numFmtId="44" fontId="0" fillId="0" borderId="0" xfId="1" applyFont="1"/>
    <xf numFmtId="0" fontId="8" fillId="0" borderId="0" xfId="0" applyFont="1"/>
    <xf numFmtId="0" fontId="10" fillId="4" borderId="0" xfId="0" applyFont="1" applyFill="1"/>
    <xf numFmtId="167" fontId="0" fillId="0" borderId="0" xfId="0" applyNumberFormat="1"/>
    <xf numFmtId="168" fontId="0" fillId="0" borderId="0" xfId="0" applyNumberFormat="1"/>
    <xf numFmtId="0" fontId="9" fillId="5" borderId="0" xfId="0" applyFont="1" applyFill="1"/>
    <xf numFmtId="168" fontId="9" fillId="5" borderId="0" xfId="0" applyNumberFormat="1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17" fontId="9" fillId="5" borderId="0" xfId="0" applyNumberFormat="1" applyFont="1" applyFill="1"/>
    <xf numFmtId="0" fontId="0" fillId="7" borderId="0" xfId="0" applyFill="1"/>
    <xf numFmtId="0" fontId="0" fillId="7" borderId="0" xfId="0" applyFill="1" applyAlignment="1">
      <alignment horizontal="right"/>
    </xf>
    <xf numFmtId="165" fontId="0" fillId="7" borderId="0" xfId="0" applyNumberFormat="1" applyFill="1" applyAlignment="1">
      <alignment horizontal="right"/>
    </xf>
    <xf numFmtId="0" fontId="0" fillId="8" borderId="0" xfId="0" applyFill="1"/>
    <xf numFmtId="0" fontId="5" fillId="8" borderId="0" xfId="0" applyFont="1" applyFill="1"/>
    <xf numFmtId="0" fontId="0" fillId="8" borderId="0" xfId="0" applyFill="1" applyAlignment="1">
      <alignment horizontal="right"/>
    </xf>
    <xf numFmtId="165" fontId="0" fillId="8" borderId="0" xfId="0" applyNumberFormat="1" applyFill="1"/>
    <xf numFmtId="0" fontId="4" fillId="3" borderId="3" xfId="0" applyFont="1" applyFill="1" applyBorder="1" applyAlignment="1">
      <alignment horizontal="center" vertical="center" wrapText="1"/>
    </xf>
    <xf numFmtId="44" fontId="0" fillId="3" borderId="4" xfId="1" applyFont="1" applyFill="1" applyBorder="1"/>
    <xf numFmtId="0" fontId="4" fillId="3" borderId="5" xfId="0" applyFont="1" applyFill="1" applyBorder="1" applyAlignment="1">
      <alignment horizontal="center" vertical="center" wrapText="1"/>
    </xf>
    <xf numFmtId="44" fontId="0" fillId="3" borderId="6" xfId="1" applyFont="1" applyFill="1" applyBorder="1"/>
    <xf numFmtId="0" fontId="0" fillId="9" borderId="0" xfId="0" applyFill="1"/>
    <xf numFmtId="10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10" borderId="0" xfId="0" applyFill="1"/>
    <xf numFmtId="9" fontId="0" fillId="11" borderId="0" xfId="0" applyNumberFormat="1" applyFill="1"/>
    <xf numFmtId="14" fontId="0" fillId="11" borderId="0" xfId="0" applyNumberFormat="1" applyFill="1"/>
    <xf numFmtId="44" fontId="0" fillId="11" borderId="0" xfId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2" fillId="6" borderId="7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right"/>
    </xf>
    <xf numFmtId="0" fontId="5" fillId="11" borderId="0" xfId="0" applyFont="1" applyFill="1" applyAlignment="1">
      <alignment horizontal="right" wrapText="1"/>
    </xf>
    <xf numFmtId="0" fontId="0" fillId="11" borderId="0" xfId="0" applyFill="1" applyAlignment="1">
      <alignment horizontal="right" wrapText="1"/>
    </xf>
    <xf numFmtId="14" fontId="0" fillId="6" borderId="7" xfId="0" applyNumberFormat="1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0" fontId="0" fillId="6" borderId="9" xfId="0" applyFill="1" applyBorder="1" applyAlignment="1">
      <alignment horizontal="right"/>
    </xf>
    <xf numFmtId="166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14" fontId="0" fillId="2" borderId="0" xfId="0" applyNumberFormat="1" applyFill="1" applyAlignment="1">
      <alignment horizontal="right"/>
    </xf>
    <xf numFmtId="0" fontId="9" fillId="5" borderId="0" xfId="0" applyFont="1" applyFill="1"/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Normal 2" xfId="2" xr:uid="{90833731-E86B-4E23-86A4-FA5EC8A205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Normal="100" workbookViewId="0">
      <selection activeCell="N22" sqref="N22"/>
    </sheetView>
  </sheetViews>
  <sheetFormatPr defaultRowHeight="14.4" x14ac:dyDescent="0.3"/>
  <cols>
    <col min="1" max="1" width="19" customWidth="1"/>
    <col min="2" max="2" width="28.88671875" customWidth="1"/>
    <col min="3" max="3" width="23.44140625" customWidth="1"/>
    <col min="4" max="4" width="23" bestFit="1" customWidth="1"/>
    <col min="5" max="5" width="19.33203125" bestFit="1" customWidth="1"/>
    <col min="6" max="6" width="16.33203125" bestFit="1" customWidth="1"/>
    <col min="7" max="7" width="12.109375" bestFit="1" customWidth="1"/>
    <col min="8" max="11" width="9.109375" customWidth="1"/>
    <col min="14" max="14" width="15.33203125" customWidth="1"/>
  </cols>
  <sheetData>
    <row r="1" spans="1:7" ht="18" x14ac:dyDescent="0.35">
      <c r="A1" s="48" t="s">
        <v>44</v>
      </c>
      <c r="B1" s="48" t="s">
        <v>0</v>
      </c>
      <c r="C1" s="48" t="s">
        <v>0</v>
      </c>
      <c r="D1" s="48" t="s">
        <v>0</v>
      </c>
      <c r="E1" s="48" t="s">
        <v>0</v>
      </c>
      <c r="F1" s="48" t="s">
        <v>0</v>
      </c>
      <c r="G1" s="48" t="s">
        <v>0</v>
      </c>
    </row>
    <row r="2" spans="1:7" x14ac:dyDescent="0.3">
      <c r="A2" s="49"/>
      <c r="B2" s="49"/>
      <c r="C2" s="49"/>
      <c r="D2" s="49"/>
      <c r="E2" s="49"/>
      <c r="F2" s="49"/>
      <c r="G2" s="49"/>
    </row>
    <row r="3" spans="1:7" x14ac:dyDescent="0.3">
      <c r="A3" s="6"/>
      <c r="B3" s="6"/>
      <c r="C3" s="6"/>
      <c r="D3" s="6"/>
      <c r="E3" s="6"/>
      <c r="F3" s="6"/>
      <c r="G3" s="6"/>
    </row>
    <row r="4" spans="1:7" x14ac:dyDescent="0.3">
      <c r="A4" s="50" t="s">
        <v>2</v>
      </c>
      <c r="B4" s="50" t="s">
        <v>2</v>
      </c>
      <c r="C4" s="50" t="s">
        <v>2</v>
      </c>
      <c r="D4" s="6"/>
      <c r="E4" s="51" t="s">
        <v>60</v>
      </c>
      <c r="F4" s="51" t="s">
        <v>3</v>
      </c>
      <c r="G4" s="51" t="s">
        <v>3</v>
      </c>
    </row>
    <row r="5" spans="1:7" x14ac:dyDescent="0.3">
      <c r="A5" s="50" t="s">
        <v>4</v>
      </c>
      <c r="B5" s="50" t="s">
        <v>4</v>
      </c>
      <c r="C5" s="50" t="s">
        <v>4</v>
      </c>
      <c r="D5" s="6"/>
      <c r="E5" s="51" t="s">
        <v>4</v>
      </c>
      <c r="F5" s="51" t="s">
        <v>4</v>
      </c>
      <c r="G5" s="51" t="s">
        <v>4</v>
      </c>
    </row>
    <row r="6" spans="1:7" ht="15" thickBot="1" x14ac:dyDescent="0.35">
      <c r="A6" s="50" t="s">
        <v>4</v>
      </c>
      <c r="B6" s="50" t="s">
        <v>4</v>
      </c>
      <c r="C6" s="50" t="s">
        <v>4</v>
      </c>
      <c r="D6" s="6"/>
      <c r="E6" s="51" t="s">
        <v>4</v>
      </c>
      <c r="F6" s="51" t="s">
        <v>4</v>
      </c>
      <c r="G6" s="51" t="s">
        <v>4</v>
      </c>
    </row>
    <row r="7" spans="1:7" ht="15" thickBot="1" x14ac:dyDescent="0.35">
      <c r="A7" s="50" t="s">
        <v>5</v>
      </c>
      <c r="B7" s="50" t="s">
        <v>5</v>
      </c>
      <c r="C7" s="50" t="s">
        <v>5</v>
      </c>
      <c r="D7" s="6"/>
      <c r="E7" s="52"/>
      <c r="F7" s="53"/>
      <c r="G7" s="54"/>
    </row>
    <row r="8" spans="1:7" ht="28.5" customHeight="1" thickBot="1" x14ac:dyDescent="0.35">
      <c r="A8" s="50" t="s">
        <v>6</v>
      </c>
      <c r="B8" s="50" t="s">
        <v>6</v>
      </c>
      <c r="C8" s="50" t="s">
        <v>6</v>
      </c>
      <c r="D8" s="16"/>
      <c r="E8" s="55" t="s">
        <v>74</v>
      </c>
      <c r="F8" s="56" t="s">
        <v>7</v>
      </c>
      <c r="G8" s="56" t="s">
        <v>7</v>
      </c>
    </row>
    <row r="9" spans="1:7" ht="15" thickBot="1" x14ac:dyDescent="0.35">
      <c r="A9" s="50" t="s">
        <v>8</v>
      </c>
      <c r="B9" s="50" t="s">
        <v>8</v>
      </c>
      <c r="C9" s="50" t="s">
        <v>8</v>
      </c>
      <c r="D9" s="6"/>
      <c r="E9" s="57"/>
      <c r="F9" s="58"/>
      <c r="G9" s="59"/>
    </row>
    <row r="10" spans="1:7" ht="15" thickBot="1" x14ac:dyDescent="0.35">
      <c r="A10" s="50" t="s">
        <v>57</v>
      </c>
      <c r="B10" s="50" t="s">
        <v>4</v>
      </c>
      <c r="C10" s="50" t="s">
        <v>4</v>
      </c>
      <c r="D10" s="28"/>
      <c r="E10" s="57"/>
      <c r="F10" s="58"/>
      <c r="G10" s="59"/>
    </row>
    <row r="11" spans="1:7" x14ac:dyDescent="0.3">
      <c r="A11" s="50"/>
      <c r="B11" s="50"/>
      <c r="C11" s="50"/>
      <c r="D11" s="27"/>
      <c r="E11" s="62"/>
      <c r="F11" s="51"/>
      <c r="G11" s="51"/>
    </row>
    <row r="12" spans="1:7" x14ac:dyDescent="0.3">
      <c r="A12" s="6" t="s">
        <v>47</v>
      </c>
      <c r="B12" s="6"/>
      <c r="C12" s="6"/>
      <c r="D12" s="6" t="s">
        <v>61</v>
      </c>
      <c r="E12" s="6"/>
      <c r="F12" s="6"/>
      <c r="G12" s="7">
        <v>2260</v>
      </c>
    </row>
    <row r="13" spans="1:7" x14ac:dyDescent="0.3">
      <c r="A13" s="18" t="s">
        <v>48</v>
      </c>
      <c r="B13" s="6"/>
      <c r="C13" s="6"/>
      <c r="D13" s="6"/>
      <c r="E13" s="6"/>
      <c r="F13" s="6"/>
      <c r="G13" s="8">
        <v>13150</v>
      </c>
    </row>
    <row r="14" spans="1:7" x14ac:dyDescent="0.3">
      <c r="A14" s="34" t="s">
        <v>83</v>
      </c>
      <c r="B14" s="33"/>
      <c r="C14" s="33"/>
      <c r="D14" s="33"/>
      <c r="E14" s="33"/>
      <c r="F14" s="35" t="s">
        <v>80</v>
      </c>
      <c r="G14" s="45">
        <v>0.37</v>
      </c>
    </row>
    <row r="15" spans="1:7" x14ac:dyDescent="0.3">
      <c r="A15" s="6"/>
      <c r="B15" s="6"/>
      <c r="C15" s="6"/>
      <c r="D15" s="6"/>
      <c r="E15" s="6"/>
      <c r="F15" s="6"/>
      <c r="G15" s="9"/>
    </row>
    <row r="16" spans="1:7" x14ac:dyDescent="0.3">
      <c r="A16" s="6"/>
      <c r="B16" s="6"/>
      <c r="C16" s="6"/>
      <c r="D16" s="6"/>
      <c r="E16" s="6"/>
      <c r="F16" s="6"/>
      <c r="G16" s="6"/>
    </row>
    <row r="17" spans="1:11" x14ac:dyDescent="0.3">
      <c r="A17" s="6"/>
      <c r="B17" s="6"/>
      <c r="C17" s="6"/>
      <c r="D17" s="6"/>
      <c r="E17" s="6"/>
      <c r="F17" s="6"/>
      <c r="G17" s="8"/>
    </row>
    <row r="18" spans="1:11" x14ac:dyDescent="0.3">
      <c r="A18" s="6" t="s">
        <v>84</v>
      </c>
      <c r="B18" s="6"/>
      <c r="C18" s="6"/>
      <c r="D18" s="6"/>
      <c r="E18" s="6"/>
      <c r="F18" s="6"/>
      <c r="G18" s="9"/>
    </row>
    <row r="19" spans="1:11" x14ac:dyDescent="0.3">
      <c r="A19" s="30" t="s">
        <v>9</v>
      </c>
      <c r="B19" s="30"/>
      <c r="C19" s="30"/>
      <c r="D19" s="30"/>
      <c r="E19" s="30"/>
      <c r="F19" s="31" t="s">
        <v>68</v>
      </c>
      <c r="G19" s="32">
        <f>G12/G13</f>
        <v>0.17186311787072242</v>
      </c>
    </row>
    <row r="20" spans="1:11" x14ac:dyDescent="0.3">
      <c r="A20" s="6"/>
      <c r="B20" s="6"/>
      <c r="C20" s="6"/>
      <c r="D20" s="6"/>
      <c r="E20" s="6"/>
      <c r="F20" s="6"/>
      <c r="G20" s="6"/>
    </row>
    <row r="21" spans="1:11" x14ac:dyDescent="0.3">
      <c r="A21" s="11"/>
      <c r="B21" s="10" t="s">
        <v>10</v>
      </c>
      <c r="C21" s="10" t="s">
        <v>59</v>
      </c>
      <c r="D21" s="10" t="s">
        <v>43</v>
      </c>
      <c r="E21" s="10" t="s">
        <v>11</v>
      </c>
      <c r="F21" s="10" t="s">
        <v>12</v>
      </c>
      <c r="G21" s="10" t="s">
        <v>13</v>
      </c>
    </row>
    <row r="22" spans="1:11" x14ac:dyDescent="0.3">
      <c r="A22" s="11" t="str">
        <f>'Total Expenses'!A5</f>
        <v>Taxes</v>
      </c>
      <c r="B22" s="11" t="str">
        <f>'Total Expenses'!B5</f>
        <v>Real Estate Taxes</v>
      </c>
      <c r="C22" s="12">
        <f>'Total Expenses'!O5</f>
        <v>15921.529999999999</v>
      </c>
      <c r="D22" s="14">
        <f>$G$19</f>
        <v>0.17186311787072242</v>
      </c>
      <c r="E22" s="12">
        <f t="shared" ref="E22:E29" si="0">C22*D22</f>
        <v>2736.3237870722428</v>
      </c>
      <c r="F22" s="12"/>
      <c r="G22" s="12"/>
      <c r="H22" s="2"/>
      <c r="I22" s="2"/>
      <c r="J22" s="2"/>
      <c r="K22" s="2"/>
    </row>
    <row r="23" spans="1:11" x14ac:dyDescent="0.3">
      <c r="A23" s="11" t="str">
        <f>'Total Expenses'!A6</f>
        <v>Insurance</v>
      </c>
      <c r="B23" s="11" t="str">
        <f>'Total Expenses'!B6</f>
        <v>Insurance</v>
      </c>
      <c r="C23" s="12">
        <f>'Total Expenses'!O6</f>
        <v>2927.5</v>
      </c>
      <c r="D23" s="14">
        <f t="shared" ref="D23:D29" si="1">$G$19</f>
        <v>0.17186311787072242</v>
      </c>
      <c r="E23" s="12">
        <f t="shared" si="0"/>
        <v>503.12927756653988</v>
      </c>
      <c r="F23" s="12"/>
      <c r="G23" s="12"/>
      <c r="H23" s="2"/>
      <c r="I23" s="2"/>
      <c r="J23" s="2"/>
      <c r="K23" s="2"/>
    </row>
    <row r="24" spans="1:11" x14ac:dyDescent="0.3">
      <c r="A24" s="11" t="str">
        <f>'Total Expenses'!A7</f>
        <v>CAM</v>
      </c>
      <c r="B24" s="11" t="str">
        <f>'Total Expenses'!B7</f>
        <v>Security: Inspections</v>
      </c>
      <c r="C24" s="12">
        <f>'Total Expenses'!O7</f>
        <v>1073.96</v>
      </c>
      <c r="D24" s="14">
        <f t="shared" si="1"/>
        <v>0.17186311787072242</v>
      </c>
      <c r="E24" s="12">
        <f t="shared" si="0"/>
        <v>184.57411406844105</v>
      </c>
      <c r="F24" s="12"/>
      <c r="G24" s="12"/>
      <c r="H24" s="2"/>
      <c r="I24" s="2"/>
      <c r="J24" s="2"/>
      <c r="K24" s="2"/>
    </row>
    <row r="25" spans="1:11" x14ac:dyDescent="0.3">
      <c r="A25" s="11" t="str">
        <f>'Total Expenses'!A8</f>
        <v>CAM</v>
      </c>
      <c r="B25" s="11" t="str">
        <f>'Total Expenses'!B8</f>
        <v>Elevator</v>
      </c>
      <c r="C25" s="12">
        <f>'Total Expenses'!O8</f>
        <v>980.88</v>
      </c>
      <c r="D25" s="14">
        <f t="shared" si="1"/>
        <v>0.17186311787072242</v>
      </c>
      <c r="E25" s="12">
        <f t="shared" si="0"/>
        <v>168.5770950570342</v>
      </c>
      <c r="F25" s="12"/>
      <c r="G25" s="12"/>
      <c r="H25" s="2"/>
      <c r="I25" s="2"/>
      <c r="J25" s="2"/>
      <c r="K25" s="2"/>
    </row>
    <row r="26" spans="1:11" x14ac:dyDescent="0.3">
      <c r="A26" s="11" t="str">
        <f>'Total Expenses'!A9</f>
        <v>CAM</v>
      </c>
      <c r="B26" s="11" t="str">
        <f>'Total Expenses'!B9</f>
        <v>Security</v>
      </c>
      <c r="C26" s="12">
        <f>'Total Expenses'!O9</f>
        <v>530.78</v>
      </c>
      <c r="D26" s="14">
        <f t="shared" si="1"/>
        <v>0.17186311787072242</v>
      </c>
      <c r="E26" s="12">
        <f t="shared" si="0"/>
        <v>91.221505703422039</v>
      </c>
      <c r="F26" s="12"/>
      <c r="G26" s="12"/>
      <c r="H26" s="2"/>
      <c r="I26" s="2"/>
      <c r="J26" s="2"/>
      <c r="K26" s="2"/>
    </row>
    <row r="27" spans="1:11" x14ac:dyDescent="0.3">
      <c r="A27" s="11" t="str">
        <f>'Total Expenses'!A10</f>
        <v>CAM</v>
      </c>
      <c r="B27" s="11" t="str">
        <f>'Total Expenses'!B10</f>
        <v>Electric (Common Areas)</v>
      </c>
      <c r="C27" s="12">
        <f>'Total Expenses'!O10</f>
        <v>1770.9417000000003</v>
      </c>
      <c r="D27" s="14">
        <f t="shared" si="1"/>
        <v>0.17186311787072242</v>
      </c>
      <c r="E27" s="12">
        <f t="shared" si="0"/>
        <v>304.35956212927761</v>
      </c>
      <c r="F27" s="12"/>
      <c r="G27" s="12"/>
      <c r="H27" s="2"/>
      <c r="I27" s="2"/>
      <c r="J27" s="2"/>
      <c r="K27" s="2"/>
    </row>
    <row r="28" spans="1:11" x14ac:dyDescent="0.3">
      <c r="A28" s="11" t="str">
        <f>'Total Expenses'!A11</f>
        <v>Consumption</v>
      </c>
      <c r="B28" s="11" t="str">
        <f>'Total Expenses'!B11</f>
        <v>Electric</v>
      </c>
      <c r="C28" s="12">
        <f>'Total Expenses'!O11</f>
        <v>17906.188300000002</v>
      </c>
      <c r="D28" s="36">
        <f>G14</f>
        <v>0.37</v>
      </c>
      <c r="E28" s="12">
        <f t="shared" si="0"/>
        <v>6625.2896710000005</v>
      </c>
      <c r="F28" s="12"/>
      <c r="G28" s="12"/>
      <c r="H28" s="2"/>
      <c r="I28" s="2"/>
      <c r="J28" s="2"/>
      <c r="K28" s="2"/>
    </row>
    <row r="29" spans="1:11" x14ac:dyDescent="0.3">
      <c r="A29" s="11" t="str">
        <f>'Total Expenses'!A12</f>
        <v>CAM</v>
      </c>
      <c r="B29" s="11" t="str">
        <f>'Total Expenses'!B12</f>
        <v>Utilities-Other</v>
      </c>
      <c r="C29" s="12">
        <f>'Total Expenses'!O12</f>
        <v>1203.54</v>
      </c>
      <c r="D29" s="14">
        <f t="shared" si="1"/>
        <v>0.17186311787072242</v>
      </c>
      <c r="E29" s="12">
        <f t="shared" si="0"/>
        <v>206.84413688212925</v>
      </c>
      <c r="F29" s="12"/>
      <c r="G29" s="12"/>
      <c r="H29" s="2"/>
      <c r="I29" s="2"/>
      <c r="J29" s="2"/>
      <c r="K29" s="2"/>
    </row>
    <row r="30" spans="1:11" x14ac:dyDescent="0.3">
      <c r="A30" s="11"/>
      <c r="B30" s="11"/>
      <c r="C30" s="13">
        <f>SUM(C22:C29)</f>
        <v>42315.32</v>
      </c>
      <c r="D30" s="11"/>
      <c r="E30" s="13">
        <f>SUM(E22:E29)</f>
        <v>10820.319149479086</v>
      </c>
      <c r="F30" s="13">
        <f>'2024 Estimated CAM &amp; Electric'!H14</f>
        <v>0</v>
      </c>
      <c r="G30" s="13">
        <f>E30-F30</f>
        <v>10820.319149479086</v>
      </c>
    </row>
    <row r="31" spans="1:11" ht="15" thickBot="1" x14ac:dyDescent="0.35">
      <c r="A31" s="11"/>
      <c r="B31" s="11"/>
      <c r="C31" s="11"/>
      <c r="D31" s="11"/>
      <c r="E31" s="11"/>
      <c r="F31" s="11"/>
      <c r="G31" s="11"/>
    </row>
    <row r="32" spans="1:11" ht="28.8" x14ac:dyDescent="0.3">
      <c r="A32" s="11"/>
      <c r="B32" s="11"/>
      <c r="C32" s="10" t="s">
        <v>16</v>
      </c>
      <c r="D32" s="10" t="s">
        <v>11</v>
      </c>
      <c r="E32" s="37" t="s">
        <v>85</v>
      </c>
      <c r="F32" s="39" t="s">
        <v>86</v>
      </c>
      <c r="G32" s="39" t="s">
        <v>87</v>
      </c>
    </row>
    <row r="33" spans="1:7" ht="15" thickBot="1" x14ac:dyDescent="0.35">
      <c r="A33" s="60" t="s">
        <v>17</v>
      </c>
      <c r="B33" s="61" t="s">
        <v>17</v>
      </c>
      <c r="C33" s="12"/>
      <c r="D33" s="12">
        <f>E30</f>
        <v>10820.319149479086</v>
      </c>
      <c r="E33" s="38">
        <f>(E30-E28)/6</f>
        <v>699.17157974651434</v>
      </c>
      <c r="F33" s="40">
        <f>((C28)*G14)/6</f>
        <v>1104.2149451666667</v>
      </c>
      <c r="G33" s="40">
        <f>SUM(E33:F33)</f>
        <v>1803.3865249131809</v>
      </c>
    </row>
    <row r="34" spans="1:7" x14ac:dyDescent="0.3">
      <c r="A34" s="61" t="s">
        <v>82</v>
      </c>
      <c r="B34" s="61" t="s">
        <v>18</v>
      </c>
      <c r="C34" s="15"/>
      <c r="D34" s="15">
        <f>F30</f>
        <v>0</v>
      </c>
      <c r="E34" s="41"/>
      <c r="F34" s="42">
        <f>G14</f>
        <v>0.37</v>
      </c>
      <c r="G34" s="11"/>
    </row>
    <row r="35" spans="1:7" x14ac:dyDescent="0.3">
      <c r="A35" s="61" t="s">
        <v>19</v>
      </c>
      <c r="B35" s="61" t="s">
        <v>19</v>
      </c>
      <c r="C35" s="12"/>
      <c r="D35" s="12">
        <f>D33-D34</f>
        <v>10820.319149479086</v>
      </c>
      <c r="E35" s="11"/>
      <c r="F35" s="43" t="s">
        <v>88</v>
      </c>
      <c r="G35" s="11"/>
    </row>
    <row r="36" spans="1:7" x14ac:dyDescent="0.3">
      <c r="A36" s="11"/>
      <c r="B36" s="11"/>
      <c r="C36" s="11"/>
      <c r="D36" s="11"/>
      <c r="E36" s="11"/>
      <c r="F36" s="11"/>
      <c r="G36" s="11"/>
    </row>
    <row r="37" spans="1:7" x14ac:dyDescent="0.3">
      <c r="A37" s="44" t="s">
        <v>89</v>
      </c>
      <c r="B37" s="47">
        <f>G33</f>
        <v>1803.3865249131809</v>
      </c>
      <c r="C37" s="44" t="s">
        <v>90</v>
      </c>
      <c r="D37" s="46">
        <v>45658</v>
      </c>
      <c r="E37" s="44"/>
      <c r="F37" s="44"/>
      <c r="G37" s="44"/>
    </row>
  </sheetData>
  <mergeCells count="21">
    <mergeCell ref="A10:C10"/>
    <mergeCell ref="E10:G10"/>
    <mergeCell ref="A33:B33"/>
    <mergeCell ref="A34:B34"/>
    <mergeCell ref="A35:B35"/>
    <mergeCell ref="A11:C11"/>
    <mergeCell ref="E11:G11"/>
    <mergeCell ref="A7:C7"/>
    <mergeCell ref="E7:G7"/>
    <mergeCell ref="A8:C8"/>
    <mergeCell ref="E8:G8"/>
    <mergeCell ref="A9:C9"/>
    <mergeCell ref="E9:G9"/>
    <mergeCell ref="A6:C6"/>
    <mergeCell ref="E6:G6"/>
    <mergeCell ref="A1:G1"/>
    <mergeCell ref="A2:G2"/>
    <mergeCell ref="A4:C4"/>
    <mergeCell ref="E4:G4"/>
    <mergeCell ref="A5:C5"/>
    <mergeCell ref="E5:G5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E7E3-7729-4360-90ED-88B7390B2311}">
  <dimension ref="A1:K16"/>
  <sheetViews>
    <sheetView workbookViewId="0">
      <pane ySplit="13" topLeftCell="A14" activePane="bottomLeft" state="frozen"/>
      <selection pane="bottomLeft" activeCell="G17" sqref="G17"/>
    </sheetView>
  </sheetViews>
  <sheetFormatPr defaultColWidth="9.109375" defaultRowHeight="15" customHeight="1" x14ac:dyDescent="0.3"/>
  <cols>
    <col min="1" max="1" width="21.109375" style="17" customWidth="1"/>
    <col min="2" max="2" width="23.6640625" style="17" bestFit="1" customWidth="1"/>
    <col min="3" max="4" width="9.6640625" style="17" bestFit="1" customWidth="1"/>
    <col min="5" max="5" width="30.6640625" style="17" bestFit="1" customWidth="1"/>
    <col min="6" max="6" width="9.6640625" style="17" bestFit="1" customWidth="1"/>
    <col min="7" max="7" width="67.6640625" style="17" bestFit="1" customWidth="1"/>
    <col min="8" max="8" width="18.6640625" style="17" bestFit="1" customWidth="1"/>
    <col min="9" max="9" width="31.6640625" style="17" bestFit="1" customWidth="1"/>
    <col min="10" max="10" width="15.109375" style="17" bestFit="1" customWidth="1"/>
    <col min="11" max="16384" width="9.109375" style="17"/>
  </cols>
  <sheetData>
    <row r="1" spans="1:11" customFormat="1" ht="15" customHeight="1" x14ac:dyDescent="0.35">
      <c r="A1" s="21" t="s">
        <v>75</v>
      </c>
    </row>
    <row r="2" spans="1:11" customFormat="1" ht="14.4" x14ac:dyDescent="0.3">
      <c r="A2" t="s">
        <v>4</v>
      </c>
    </row>
    <row r="3" spans="1:11" customFormat="1" ht="14.4" x14ac:dyDescent="0.3">
      <c r="A3" s="22"/>
      <c r="B3" s="22" t="s">
        <v>49</v>
      </c>
      <c r="C3" s="22" t="s">
        <v>50</v>
      </c>
      <c r="D3" s="22" t="s">
        <v>51</v>
      </c>
      <c r="E3" s="22" t="s">
        <v>52</v>
      </c>
      <c r="F3" s="22" t="s">
        <v>53</v>
      </c>
      <c r="G3" s="22" t="s">
        <v>54</v>
      </c>
      <c r="H3" s="22" t="s">
        <v>55</v>
      </c>
      <c r="I3" s="22" t="s">
        <v>76</v>
      </c>
    </row>
    <row r="4" spans="1:11" customFormat="1" ht="14.4" x14ac:dyDescent="0.3">
      <c r="A4" s="63" t="s">
        <v>77</v>
      </c>
      <c r="B4" s="64"/>
      <c r="C4" s="64"/>
      <c r="D4" s="64"/>
      <c r="E4" s="64"/>
      <c r="F4" s="64"/>
      <c r="G4" s="64"/>
      <c r="H4" s="64"/>
      <c r="I4" s="64"/>
    </row>
    <row r="5" spans="1:11" customFormat="1" ht="14.4" x14ac:dyDescent="0.3">
      <c r="A5" s="29"/>
      <c r="B5" s="23"/>
      <c r="C5" s="24"/>
      <c r="D5" s="24"/>
      <c r="E5" s="24"/>
      <c r="F5" s="24"/>
      <c r="G5" s="24"/>
      <c r="H5" s="24"/>
      <c r="I5" s="24"/>
    </row>
    <row r="6" spans="1:11" customFormat="1" ht="14.4" x14ac:dyDescent="0.3">
      <c r="A6" s="29"/>
      <c r="B6" s="23"/>
      <c r="C6" s="24"/>
      <c r="D6" s="24"/>
      <c r="E6" s="24"/>
      <c r="F6" s="24"/>
      <c r="G6" s="24"/>
      <c r="H6" s="24"/>
      <c r="I6" s="24"/>
    </row>
    <row r="7" spans="1:11" customFormat="1" ht="14.4" x14ac:dyDescent="0.3">
      <c r="A7" s="29"/>
      <c r="B7" s="23"/>
      <c r="C7" s="24"/>
      <c r="D7" s="24"/>
      <c r="E7" s="24"/>
      <c r="F7" s="24"/>
      <c r="G7" s="24"/>
      <c r="H7" s="24"/>
      <c r="I7" s="24"/>
    </row>
    <row r="8" spans="1:11" customFormat="1" ht="14.4" x14ac:dyDescent="0.3">
      <c r="A8" s="29"/>
      <c r="B8" s="23"/>
      <c r="C8" s="24"/>
      <c r="D8" s="24"/>
      <c r="E8" s="24"/>
      <c r="F8" s="24"/>
      <c r="G8" s="24"/>
      <c r="H8" s="24"/>
      <c r="I8" s="24"/>
    </row>
    <row r="9" spans="1:11" customFormat="1" ht="14.4" x14ac:dyDescent="0.3">
      <c r="A9" s="29"/>
      <c r="B9" s="23"/>
      <c r="C9" s="24"/>
      <c r="D9" s="24"/>
      <c r="E9" s="24"/>
      <c r="F9" s="24"/>
      <c r="G9" s="24"/>
      <c r="H9" s="24"/>
      <c r="I9" s="24"/>
    </row>
    <row r="10" spans="1:11" customFormat="1" ht="14.4" x14ac:dyDescent="0.3">
      <c r="A10" s="29"/>
      <c r="B10" s="23"/>
      <c r="C10" s="24"/>
      <c r="D10" s="24"/>
      <c r="E10" s="24"/>
      <c r="F10" s="24"/>
      <c r="G10" s="24"/>
      <c r="H10" s="24"/>
      <c r="I10" s="24"/>
    </row>
    <row r="11" spans="1:11" customFormat="1" ht="14.4" x14ac:dyDescent="0.3">
      <c r="A11" s="29"/>
      <c r="B11" s="23"/>
      <c r="C11" s="24"/>
      <c r="D11" s="24"/>
      <c r="E11" s="24"/>
      <c r="F11" s="24"/>
      <c r="G11" s="24"/>
      <c r="H11" s="24"/>
      <c r="I11" s="24"/>
    </row>
    <row r="12" spans="1:11" customFormat="1" ht="14.4" x14ac:dyDescent="0.3">
      <c r="A12" s="29"/>
      <c r="B12" s="23"/>
      <c r="C12" s="24"/>
      <c r="D12" s="24"/>
      <c r="E12" s="24"/>
      <c r="F12" s="24"/>
      <c r="G12" s="24"/>
      <c r="H12" s="24"/>
      <c r="I12" s="24"/>
    </row>
    <row r="13" spans="1:11" customFormat="1" ht="14.4" x14ac:dyDescent="0.3">
      <c r="A13" s="29"/>
      <c r="B13" s="23"/>
      <c r="C13" s="24"/>
      <c r="D13" s="24"/>
      <c r="E13" s="24"/>
      <c r="F13" s="24"/>
      <c r="G13" s="24"/>
      <c r="H13" s="24"/>
      <c r="I13" s="24"/>
    </row>
    <row r="14" spans="1:11" customFormat="1" ht="14.4" x14ac:dyDescent="0.3">
      <c r="A14" s="25"/>
      <c r="B14" s="25" t="s">
        <v>78</v>
      </c>
      <c r="C14" s="25"/>
      <c r="D14" s="25"/>
      <c r="E14" s="25"/>
      <c r="F14" s="25"/>
      <c r="G14" s="25"/>
      <c r="H14" s="26">
        <f>SUM(H5:H13)</f>
        <v>0</v>
      </c>
      <c r="I14" s="25"/>
      <c r="J14" s="25"/>
      <c r="K14" s="25"/>
    </row>
    <row r="15" spans="1:11" ht="15" customHeight="1" x14ac:dyDescent="0.3">
      <c r="A15" t="s">
        <v>4</v>
      </c>
      <c r="B15"/>
      <c r="C15"/>
      <c r="D15"/>
      <c r="E15"/>
      <c r="F15"/>
      <c r="G15"/>
      <c r="H15"/>
      <c r="I15"/>
    </row>
    <row r="16" spans="1:11" ht="15" customHeight="1" x14ac:dyDescent="0.3">
      <c r="A16" t="s">
        <v>79</v>
      </c>
      <c r="B16"/>
      <c r="C16"/>
      <c r="D16"/>
      <c r="E16"/>
      <c r="F16"/>
      <c r="G16"/>
      <c r="H16"/>
      <c r="I16"/>
    </row>
  </sheetData>
  <mergeCells count="1"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workbookViewId="0">
      <selection sqref="A1:O1"/>
    </sheetView>
  </sheetViews>
  <sheetFormatPr defaultRowHeight="14.4" x14ac:dyDescent="0.3"/>
  <cols>
    <col min="1" max="1" width="12.88671875" bestFit="1" customWidth="1"/>
    <col min="2" max="2" width="25.5546875" customWidth="1"/>
    <col min="3" max="3" width="10.5546875" bestFit="1" customWidth="1"/>
    <col min="4" max="4" width="10.109375" bestFit="1" customWidth="1"/>
    <col min="5" max="5" width="10.109375" customWidth="1"/>
    <col min="6" max="6" width="11.33203125" customWidth="1"/>
    <col min="7" max="7" width="10.33203125" customWidth="1"/>
    <col min="8" max="8" width="11.109375" bestFit="1" customWidth="1"/>
    <col min="9" max="10" width="10.109375" customWidth="1"/>
    <col min="11" max="12" width="11.33203125" customWidth="1"/>
    <col min="13" max="13" width="9.88671875" customWidth="1"/>
    <col min="14" max="14" width="9.5546875" customWidth="1"/>
    <col min="15" max="15" width="13" customWidth="1"/>
    <col min="16" max="16" width="38.33203125" bestFit="1" customWidth="1"/>
  </cols>
  <sheetData>
    <row r="1" spans="1:16" ht="18" x14ac:dyDescent="0.35">
      <c r="A1" s="65" t="s">
        <v>56</v>
      </c>
      <c r="B1" s="65" t="s">
        <v>20</v>
      </c>
      <c r="C1" s="65" t="s">
        <v>20</v>
      </c>
      <c r="D1" s="65" t="s">
        <v>20</v>
      </c>
      <c r="E1" s="65" t="s">
        <v>20</v>
      </c>
      <c r="F1" s="65" t="s">
        <v>20</v>
      </c>
      <c r="G1" s="65" t="s">
        <v>20</v>
      </c>
      <c r="H1" s="65" t="s">
        <v>20</v>
      </c>
      <c r="I1" s="65" t="s">
        <v>20</v>
      </c>
      <c r="J1" s="65" t="s">
        <v>20</v>
      </c>
      <c r="K1" s="65" t="s">
        <v>20</v>
      </c>
      <c r="L1" s="65" t="s">
        <v>20</v>
      </c>
      <c r="M1" s="65" t="s">
        <v>20</v>
      </c>
      <c r="N1" s="65" t="s">
        <v>20</v>
      </c>
      <c r="O1" s="65" t="s">
        <v>20</v>
      </c>
    </row>
    <row r="2" spans="1:16" x14ac:dyDescent="0.3">
      <c r="A2" s="66" t="s">
        <v>1</v>
      </c>
      <c r="B2" s="66" t="s">
        <v>1</v>
      </c>
      <c r="C2" s="66" t="s">
        <v>1</v>
      </c>
      <c r="D2" s="66" t="s">
        <v>1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66" t="s">
        <v>1</v>
      </c>
      <c r="L2" s="66" t="s">
        <v>1</v>
      </c>
      <c r="M2" s="66" t="s">
        <v>1</v>
      </c>
      <c r="N2" s="66" t="s">
        <v>1</v>
      </c>
      <c r="O2" s="66" t="s">
        <v>1</v>
      </c>
    </row>
    <row r="4" spans="1:16" x14ac:dyDescent="0.3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 t="s">
        <v>34</v>
      </c>
      <c r="O4" s="3" t="s">
        <v>35</v>
      </c>
      <c r="P4" s="3" t="s">
        <v>46</v>
      </c>
    </row>
    <row r="5" spans="1:16" x14ac:dyDescent="0.3">
      <c r="A5" t="s">
        <v>36</v>
      </c>
      <c r="B5" t="s">
        <v>15</v>
      </c>
      <c r="C5" s="2"/>
      <c r="D5" s="2"/>
      <c r="E5" s="2"/>
      <c r="F5" s="2"/>
      <c r="G5" s="2"/>
      <c r="H5" s="2"/>
      <c r="I5" s="2">
        <f>3114.64+12806.89</f>
        <v>15921.529999999999</v>
      </c>
      <c r="J5" s="2"/>
      <c r="K5" s="2"/>
      <c r="L5" s="2"/>
      <c r="M5" s="2"/>
      <c r="N5" s="2"/>
      <c r="O5" s="4">
        <f>SUM(C5:N5)</f>
        <v>15921.529999999999</v>
      </c>
      <c r="P5" t="s">
        <v>71</v>
      </c>
    </row>
    <row r="6" spans="1:16" x14ac:dyDescent="0.3">
      <c r="A6" t="s">
        <v>14</v>
      </c>
      <c r="B6" t="s">
        <v>14</v>
      </c>
      <c r="C6" s="20"/>
      <c r="D6" s="2"/>
      <c r="E6" s="2"/>
      <c r="F6" s="2"/>
      <c r="G6" s="2"/>
      <c r="H6" s="2"/>
      <c r="I6" s="2">
        <f>+(487.916666666667)*6</f>
        <v>2927.5</v>
      </c>
      <c r="J6" s="2"/>
      <c r="K6" s="2"/>
      <c r="L6" s="2"/>
      <c r="M6" s="2"/>
      <c r="N6" s="2"/>
      <c r="O6" s="4">
        <f t="shared" ref="O6:O12" si="0">SUM(C6:N6)</f>
        <v>2927.5</v>
      </c>
      <c r="P6" t="s">
        <v>72</v>
      </c>
    </row>
    <row r="7" spans="1:16" x14ac:dyDescent="0.3">
      <c r="A7" t="s">
        <v>37</v>
      </c>
      <c r="B7" s="19" t="s">
        <v>69</v>
      </c>
      <c r="C7" s="2"/>
      <c r="D7" s="2"/>
      <c r="E7" s="2"/>
      <c r="F7" s="2"/>
      <c r="G7" s="2"/>
      <c r="H7" s="2"/>
      <c r="I7" s="2"/>
      <c r="J7" s="2"/>
      <c r="K7" s="2">
        <v>1073.96</v>
      </c>
      <c r="L7" s="2"/>
      <c r="M7" s="2"/>
      <c r="N7" s="2"/>
      <c r="O7" s="4">
        <f t="shared" ref="O7:O11" si="1">SUM(C7:N7)</f>
        <v>1073.96</v>
      </c>
      <c r="P7" t="s">
        <v>62</v>
      </c>
    </row>
    <row r="8" spans="1:16" x14ac:dyDescent="0.3">
      <c r="A8" t="s">
        <v>37</v>
      </c>
      <c r="B8" s="19" t="s">
        <v>64</v>
      </c>
      <c r="C8" s="2"/>
      <c r="D8" s="2"/>
      <c r="E8" s="2"/>
      <c r="F8" s="2"/>
      <c r="G8" s="2"/>
      <c r="H8" s="2"/>
      <c r="I8" s="2">
        <v>490.44</v>
      </c>
      <c r="J8" s="2"/>
      <c r="K8" s="2"/>
      <c r="L8" s="2">
        <v>490.44</v>
      </c>
      <c r="M8" s="2"/>
      <c r="N8" s="2"/>
      <c r="O8" s="4">
        <f t="shared" si="1"/>
        <v>980.88</v>
      </c>
      <c r="P8" t="s">
        <v>65</v>
      </c>
    </row>
    <row r="9" spans="1:16" x14ac:dyDescent="0.3">
      <c r="A9" t="s">
        <v>37</v>
      </c>
      <c r="B9" s="19" t="s">
        <v>45</v>
      </c>
      <c r="C9" s="2"/>
      <c r="D9" s="2"/>
      <c r="E9" s="2"/>
      <c r="F9" s="2"/>
      <c r="G9" s="2"/>
      <c r="H9" s="2"/>
      <c r="I9" s="2">
        <v>100</v>
      </c>
      <c r="J9" s="2">
        <v>115.5</v>
      </c>
      <c r="K9" s="2">
        <f>54.99+95.32</f>
        <v>150.31</v>
      </c>
      <c r="L9" s="2">
        <v>54.99</v>
      </c>
      <c r="M9" s="2">
        <v>54.99</v>
      </c>
      <c r="N9" s="2">
        <v>54.99</v>
      </c>
      <c r="O9" s="4">
        <f t="shared" si="1"/>
        <v>530.78</v>
      </c>
      <c r="P9" t="s">
        <v>70</v>
      </c>
    </row>
    <row r="10" spans="1:16" x14ac:dyDescent="0.3">
      <c r="A10" t="s">
        <v>37</v>
      </c>
      <c r="B10" s="19" t="s">
        <v>91</v>
      </c>
      <c r="C10" s="2"/>
      <c r="D10" s="2"/>
      <c r="E10" s="2"/>
      <c r="F10" s="2"/>
      <c r="G10" s="2"/>
      <c r="H10" s="2"/>
      <c r="I10" s="2"/>
      <c r="J10" s="2">
        <f>(739.21+3669.29)*0.09</f>
        <v>396.76499999999999</v>
      </c>
      <c r="K10" s="2">
        <f>4246.22*0.09</f>
        <v>382.15980000000002</v>
      </c>
      <c r="L10" s="2">
        <f>3939.29*0.09</f>
        <v>354.53609999999998</v>
      </c>
      <c r="M10" s="2">
        <f>3791.55*0.09</f>
        <v>341.23950000000002</v>
      </c>
      <c r="N10" s="2">
        <f>3291.57*0.09</f>
        <v>296.24130000000002</v>
      </c>
      <c r="O10" s="4">
        <f t="shared" si="1"/>
        <v>1770.9417000000003</v>
      </c>
      <c r="P10" t="s">
        <v>92</v>
      </c>
    </row>
    <row r="11" spans="1:16" x14ac:dyDescent="0.3">
      <c r="A11" t="s">
        <v>58</v>
      </c>
      <c r="B11" s="19" t="s">
        <v>42</v>
      </c>
      <c r="C11" s="2"/>
      <c r="D11" s="2"/>
      <c r="E11" s="2"/>
      <c r="F11" s="2"/>
      <c r="G11" s="2"/>
      <c r="H11" s="2"/>
      <c r="I11" s="2"/>
      <c r="J11" s="2">
        <f>(739.21+3669.29)*0.91</f>
        <v>4011.7350000000001</v>
      </c>
      <c r="K11" s="2">
        <f>4246.22*0.91</f>
        <v>3864.0602000000003</v>
      </c>
      <c r="L11" s="2">
        <f>3939.29*0.91</f>
        <v>3584.7539000000002</v>
      </c>
      <c r="M11" s="2">
        <f>3791.55*0.91</f>
        <v>3450.3105000000005</v>
      </c>
      <c r="N11" s="2">
        <f>3291.57*0.91</f>
        <v>2995.3287</v>
      </c>
      <c r="O11" s="4">
        <f t="shared" si="1"/>
        <v>17906.188300000002</v>
      </c>
      <c r="P11" t="s">
        <v>93</v>
      </c>
    </row>
    <row r="12" spans="1:16" x14ac:dyDescent="0.3">
      <c r="A12" t="s">
        <v>37</v>
      </c>
      <c r="B12" t="s">
        <v>81</v>
      </c>
      <c r="C12" s="2">
        <f>Utilities!C10</f>
        <v>0</v>
      </c>
      <c r="D12" s="2">
        <f>Utilities!D10</f>
        <v>0</v>
      </c>
      <c r="E12" s="2">
        <f>Utilities!E10</f>
        <v>0</v>
      </c>
      <c r="F12" s="2">
        <f>Utilities!F10</f>
        <v>0</v>
      </c>
      <c r="G12" s="2">
        <f>Utilities!G10</f>
        <v>0</v>
      </c>
      <c r="H12" s="2">
        <f>Utilities!H10</f>
        <v>0</v>
      </c>
      <c r="I12" s="2">
        <f>Utilities!I10</f>
        <v>157.91</v>
      </c>
      <c r="J12" s="2">
        <f>Utilities!J10</f>
        <v>266.11</v>
      </c>
      <c r="K12" s="2">
        <f>Utilities!K10</f>
        <v>190.49</v>
      </c>
      <c r="L12" s="2">
        <f>Utilities!L10</f>
        <v>196.33</v>
      </c>
      <c r="M12" s="2">
        <f>Utilities!M10</f>
        <v>196.35</v>
      </c>
      <c r="N12" s="2">
        <f>Utilities!N10</f>
        <v>196.35</v>
      </c>
      <c r="O12" s="4">
        <f t="shared" si="0"/>
        <v>1203.54</v>
      </c>
      <c r="P12" t="s">
        <v>73</v>
      </c>
    </row>
    <row r="13" spans="1:16" x14ac:dyDescent="0.3">
      <c r="C13" s="5">
        <f>SUM(C5:C12)</f>
        <v>0</v>
      </c>
      <c r="D13" s="5">
        <f t="shared" ref="D13:N13" si="2">SUM(D5:D12)</f>
        <v>0</v>
      </c>
      <c r="E13" s="5">
        <f t="shared" si="2"/>
        <v>0</v>
      </c>
      <c r="F13" s="5">
        <f t="shared" si="2"/>
        <v>0</v>
      </c>
      <c r="G13" s="5">
        <f t="shared" si="2"/>
        <v>0</v>
      </c>
      <c r="H13" s="5">
        <f t="shared" si="2"/>
        <v>0</v>
      </c>
      <c r="I13" s="5">
        <f t="shared" si="2"/>
        <v>19597.379999999997</v>
      </c>
      <c r="J13" s="5">
        <f t="shared" si="2"/>
        <v>4790.1099999999997</v>
      </c>
      <c r="K13" s="5">
        <f t="shared" si="2"/>
        <v>5660.98</v>
      </c>
      <c r="L13" s="5">
        <f t="shared" si="2"/>
        <v>4681.05</v>
      </c>
      <c r="M13" s="5">
        <f t="shared" si="2"/>
        <v>4042.8900000000003</v>
      </c>
      <c r="N13" s="5">
        <f t="shared" si="2"/>
        <v>3542.91</v>
      </c>
      <c r="O13" s="5">
        <f>SUM(O5:O12)</f>
        <v>42315.32</v>
      </c>
    </row>
    <row r="15" spans="1:16" x14ac:dyDescent="0.3">
      <c r="M15" s="67" t="s">
        <v>38</v>
      </c>
      <c r="N15" s="67" t="s">
        <v>38</v>
      </c>
      <c r="O15" s="1">
        <f>'2024 Reconciliation'!G13</f>
        <v>13150</v>
      </c>
    </row>
    <row r="16" spans="1:16" x14ac:dyDescent="0.3">
      <c r="M16" s="67" t="s">
        <v>39</v>
      </c>
      <c r="N16" s="67" t="s">
        <v>39</v>
      </c>
      <c r="O16" s="4">
        <f>O13/O15</f>
        <v>3.2178950570342204</v>
      </c>
    </row>
    <row r="17" spans="13:15" x14ac:dyDescent="0.3">
      <c r="M17" s="67" t="s">
        <v>40</v>
      </c>
      <c r="N17" s="67" t="s">
        <v>40</v>
      </c>
      <c r="O17" s="4">
        <f>O13/12</f>
        <v>3526.2766666666666</v>
      </c>
    </row>
  </sheetData>
  <mergeCells count="5">
    <mergeCell ref="A1:O1"/>
    <mergeCell ref="A2:O2"/>
    <mergeCell ref="M15:N15"/>
    <mergeCell ref="M16:N16"/>
    <mergeCell ref="M17:N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93C8-D56C-4049-86F5-338BCD47AD74}">
  <dimension ref="A1:P10"/>
  <sheetViews>
    <sheetView workbookViewId="0"/>
  </sheetViews>
  <sheetFormatPr defaultRowHeight="14.4" x14ac:dyDescent="0.3"/>
  <cols>
    <col min="1" max="1" width="20.5546875" bestFit="1" customWidth="1"/>
    <col min="2" max="2" width="25.33203125" bestFit="1" customWidth="1"/>
    <col min="4" max="4" width="10.109375" bestFit="1" customWidth="1"/>
    <col min="15" max="15" width="12.33203125" bestFit="1" customWidth="1"/>
    <col min="16" max="16" width="10.109375" bestFit="1" customWidth="1"/>
  </cols>
  <sheetData>
    <row r="1" spans="1:16" x14ac:dyDescent="0.3">
      <c r="A1" s="3" t="s">
        <v>41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/>
    </row>
    <row r="2" spans="1:16" x14ac:dyDescent="0.3">
      <c r="A2" s="19" t="s">
        <v>63</v>
      </c>
      <c r="B2" s="19"/>
      <c r="C2" s="2"/>
      <c r="D2" s="2"/>
      <c r="E2" s="2"/>
      <c r="F2" s="2"/>
      <c r="G2" s="2"/>
      <c r="H2" s="2"/>
      <c r="I2" s="2">
        <v>157.91</v>
      </c>
      <c r="J2" s="2">
        <v>196.82</v>
      </c>
      <c r="K2" s="2">
        <v>157.53</v>
      </c>
      <c r="L2" s="2">
        <v>163.37</v>
      </c>
      <c r="M2" s="2">
        <v>163.38999999999999</v>
      </c>
      <c r="N2" s="2">
        <v>163.38999999999999</v>
      </c>
      <c r="O2" s="4">
        <f>SUM(C2:N2)</f>
        <v>1002.41</v>
      </c>
    </row>
    <row r="3" spans="1:16" x14ac:dyDescent="0.3">
      <c r="A3" t="s">
        <v>66</v>
      </c>
      <c r="B3" t="s">
        <v>67</v>
      </c>
      <c r="C3" s="2"/>
      <c r="D3" s="2"/>
      <c r="E3" s="2"/>
      <c r="F3" s="2"/>
      <c r="G3" s="2"/>
      <c r="H3" s="2"/>
      <c r="I3" s="2"/>
      <c r="J3" s="2">
        <v>69.290000000000006</v>
      </c>
      <c r="K3" s="2">
        <v>32.96</v>
      </c>
      <c r="L3" s="2">
        <v>32.96</v>
      </c>
      <c r="M3" s="2">
        <v>32.96</v>
      </c>
      <c r="N3" s="2">
        <v>32.96</v>
      </c>
      <c r="O3" s="4">
        <f t="shared" ref="O3:O9" si="0">SUM(C3:N3)</f>
        <v>201.13000000000002</v>
      </c>
    </row>
    <row r="4" spans="1:16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>
        <f t="shared" si="0"/>
        <v>0</v>
      </c>
    </row>
    <row r="5" spans="1:16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">
        <f t="shared" si="0"/>
        <v>0</v>
      </c>
    </row>
    <row r="6" spans="1:16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">
        <f t="shared" si="0"/>
        <v>0</v>
      </c>
    </row>
    <row r="7" spans="1:16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4">
        <f t="shared" si="0"/>
        <v>0</v>
      </c>
    </row>
    <row r="8" spans="1:16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>
        <f t="shared" si="0"/>
        <v>0</v>
      </c>
    </row>
    <row r="9" spans="1:16" x14ac:dyDescent="0.3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">
        <f t="shared" si="0"/>
        <v>0</v>
      </c>
    </row>
    <row r="10" spans="1:16" x14ac:dyDescent="0.3">
      <c r="C10" s="5">
        <f>SUM(C2:C9)</f>
        <v>0</v>
      </c>
      <c r="D10" s="5">
        <f t="shared" ref="D10:O10" si="1">SUM(D2:D9)</f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  <c r="I10" s="5">
        <f t="shared" si="1"/>
        <v>157.91</v>
      </c>
      <c r="J10" s="5">
        <f t="shared" si="1"/>
        <v>266.11</v>
      </c>
      <c r="K10" s="5">
        <f t="shared" si="1"/>
        <v>190.49</v>
      </c>
      <c r="L10" s="5">
        <f t="shared" si="1"/>
        <v>196.33</v>
      </c>
      <c r="M10" s="5">
        <f t="shared" si="1"/>
        <v>196.35</v>
      </c>
      <c r="N10" s="5">
        <f t="shared" si="1"/>
        <v>196.35</v>
      </c>
      <c r="O10" s="5">
        <f t="shared" si="1"/>
        <v>1203.54</v>
      </c>
      <c r="P10" s="4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 Reconciliation</vt:lpstr>
      <vt:lpstr>2024 Estimated CAM &amp; Electric</vt:lpstr>
      <vt:lpstr>Total Expenses</vt:lpstr>
      <vt:lpstr>Utilities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Mahon</dc:creator>
  <cp:lastModifiedBy>Ed McClory</cp:lastModifiedBy>
  <cp:lastPrinted>2025-01-23T21:17:35Z</cp:lastPrinted>
  <dcterms:created xsi:type="dcterms:W3CDTF">2025-01-21T21:35:56Z</dcterms:created>
  <dcterms:modified xsi:type="dcterms:W3CDTF">2025-07-22T17:19:01Z</dcterms:modified>
</cp:coreProperties>
</file>